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48" windowWidth="16212" windowHeight="5808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B48" i="1"/>
  <c r="B47"/>
  <c r="B46"/>
  <c r="B45"/>
  <c r="H44"/>
  <c r="G44"/>
  <c r="F44"/>
  <c r="E44"/>
  <c r="D44"/>
  <c r="B44"/>
  <c r="H43"/>
  <c r="G43"/>
  <c r="F43"/>
  <c r="E43"/>
  <c r="D43"/>
  <c r="B43"/>
  <c r="H41"/>
  <c r="G41"/>
  <c r="F41"/>
  <c r="E41"/>
  <c r="D41"/>
  <c r="C41"/>
  <c r="B41"/>
  <c r="H40"/>
  <c r="G40"/>
  <c r="F40"/>
  <c r="E40"/>
  <c r="D40"/>
  <c r="C40"/>
  <c r="B40"/>
  <c r="H39"/>
  <c r="G39"/>
  <c r="F39"/>
  <c r="E39"/>
  <c r="D39"/>
  <c r="C39"/>
  <c r="B39"/>
  <c r="H38"/>
  <c r="G38"/>
  <c r="F38"/>
  <c r="E38"/>
  <c r="D38"/>
  <c r="C38"/>
  <c r="B38"/>
  <c r="H36"/>
  <c r="G36"/>
  <c r="F36"/>
  <c r="E36"/>
  <c r="D36"/>
  <c r="C36"/>
  <c r="B36"/>
  <c r="H35"/>
  <c r="G35"/>
  <c r="F35"/>
  <c r="E35"/>
  <c r="D35"/>
  <c r="C35"/>
  <c r="B35"/>
  <c r="H34"/>
  <c r="G34"/>
  <c r="F34"/>
  <c r="E34"/>
  <c r="D34"/>
  <c r="C34"/>
  <c r="B34"/>
  <c r="H33"/>
  <c r="G33"/>
  <c r="F33"/>
  <c r="E33"/>
  <c r="D33"/>
  <c r="C33"/>
  <c r="B33"/>
  <c r="H32"/>
  <c r="G32"/>
  <c r="F32"/>
  <c r="E32"/>
  <c r="D32"/>
  <c r="C32"/>
  <c r="B32"/>
  <c r="H30"/>
  <c r="G30"/>
  <c r="F30"/>
  <c r="E30"/>
  <c r="D30"/>
  <c r="C30"/>
  <c r="B30"/>
  <c r="H29"/>
  <c r="G29"/>
  <c r="F29"/>
  <c r="E29"/>
  <c r="D29"/>
  <c r="C29"/>
  <c r="B29"/>
  <c r="H28"/>
  <c r="G28"/>
  <c r="F28"/>
  <c r="E28"/>
  <c r="D28"/>
  <c r="C28"/>
  <c r="B28"/>
  <c r="H27"/>
  <c r="G27"/>
  <c r="F27"/>
  <c r="E27"/>
  <c r="D27"/>
  <c r="C27"/>
  <c r="B27"/>
  <c r="H26"/>
  <c r="G26"/>
  <c r="F26"/>
  <c r="E26"/>
  <c r="D26"/>
  <c r="C26"/>
  <c r="B26"/>
  <c r="H24"/>
  <c r="G24"/>
  <c r="F24"/>
  <c r="E24"/>
  <c r="D24"/>
  <c r="C24"/>
  <c r="B24"/>
  <c r="H23"/>
  <c r="G23"/>
  <c r="F23"/>
  <c r="E23"/>
  <c r="D23"/>
  <c r="C23"/>
  <c r="B23"/>
  <c r="H22"/>
  <c r="G22"/>
  <c r="F22"/>
  <c r="E22"/>
  <c r="D22"/>
  <c r="C22"/>
  <c r="B22"/>
  <c r="H21"/>
  <c r="G21"/>
  <c r="F21"/>
  <c r="E21"/>
  <c r="D21"/>
  <c r="C21"/>
  <c r="B21"/>
  <c r="H20"/>
  <c r="G20"/>
  <c r="F20"/>
  <c r="E20"/>
  <c r="D20"/>
  <c r="C20"/>
  <c r="B20"/>
  <c r="H18"/>
  <c r="G18"/>
  <c r="F18"/>
  <c r="E18"/>
  <c r="D18"/>
  <c r="C18"/>
  <c r="B18"/>
  <c r="H17"/>
  <c r="G17"/>
  <c r="F17"/>
  <c r="E17"/>
  <c r="D17"/>
  <c r="C17"/>
  <c r="B17"/>
  <c r="H16"/>
  <c r="G16"/>
  <c r="F16"/>
  <c r="E16"/>
  <c r="D16"/>
  <c r="C16"/>
  <c r="B16"/>
  <c r="H15"/>
  <c r="G15"/>
  <c r="F15"/>
  <c r="E15"/>
  <c r="D15"/>
  <c r="C15"/>
  <c r="B15"/>
  <c r="H14"/>
  <c r="G14"/>
  <c r="F14"/>
  <c r="E14"/>
  <c r="D14"/>
  <c r="C14"/>
  <c r="B14"/>
  <c r="H12"/>
  <c r="G12"/>
  <c r="F12"/>
  <c r="E12"/>
  <c r="D12"/>
  <c r="C12"/>
  <c r="B12"/>
  <c r="H11"/>
  <c r="G11"/>
  <c r="F11"/>
  <c r="E11"/>
  <c r="D11"/>
  <c r="C11"/>
  <c r="B11"/>
  <c r="H10"/>
  <c r="G10"/>
  <c r="F10"/>
  <c r="E10"/>
  <c r="D10"/>
  <c r="C10"/>
  <c r="B10"/>
  <c r="H9"/>
  <c r="G9"/>
  <c r="F9"/>
  <c r="E9"/>
  <c r="D9"/>
  <c r="C9"/>
  <c r="B9"/>
  <c r="H8"/>
  <c r="G8"/>
  <c r="F8"/>
  <c r="E8"/>
  <c r="D8"/>
  <c r="C8"/>
  <c r="B8"/>
</calcChain>
</file>

<file path=xl/sharedStrings.xml><?xml version="1.0" encoding="utf-8"?>
<sst xmlns="http://schemas.openxmlformats.org/spreadsheetml/2006/main" count="66" uniqueCount="66">
  <si>
    <t>МАТРАЦЫ С ПРУЖИННЫМ БЛОКОМ ТИПА БОНЕЛЛЬ</t>
  </si>
  <si>
    <t>70,80 / 190</t>
  </si>
  <si>
    <t>90 / 190</t>
  </si>
  <si>
    <t>110,120 / 190</t>
  </si>
  <si>
    <t>130,140 / 190</t>
  </si>
  <si>
    <t>160 / 190</t>
  </si>
  <si>
    <t>180 / 190</t>
  </si>
  <si>
    <t>200/190</t>
  </si>
  <si>
    <t>НАЗВАНИЕ</t>
  </si>
  <si>
    <t>70,80 / 195</t>
  </si>
  <si>
    <t>90 / 195</t>
  </si>
  <si>
    <t>110,120 / 195</t>
  </si>
  <si>
    <t>130,140 / 195</t>
  </si>
  <si>
    <t>160 / 195</t>
  </si>
  <si>
    <t>180 / 195</t>
  </si>
  <si>
    <t>200/195</t>
  </si>
  <si>
    <t>70,80 / 200</t>
  </si>
  <si>
    <t>90 / 200</t>
  </si>
  <si>
    <t>110,120 / 200</t>
  </si>
  <si>
    <t>130,140 / 200</t>
  </si>
  <si>
    <t>160 / 200</t>
  </si>
  <si>
    <t>180 / 200</t>
  </si>
  <si>
    <t>200/200</t>
  </si>
  <si>
    <t>Меркурий</t>
  </si>
  <si>
    <t>Меркурий 3</t>
  </si>
  <si>
    <t>Ферст</t>
  </si>
  <si>
    <t>Ферст - 2</t>
  </si>
  <si>
    <t>Мейджик - 2</t>
  </si>
  <si>
    <t>МАТРАЦЫ С БЛОКОМ НЕЗАВИСИМЫХ ПРУЖИН ОПТИМА</t>
  </si>
  <si>
    <t>Невада</t>
  </si>
  <si>
    <t>Невада 2</t>
  </si>
  <si>
    <t>Нептун</t>
  </si>
  <si>
    <t>Нептун  2</t>
  </si>
  <si>
    <t>Нептун  5</t>
  </si>
  <si>
    <t>МАТРАЦЫ С БЛОКОМ НЕЗАВИСИМЫХ ПРУЖИН РЕЛАКС</t>
  </si>
  <si>
    <t>Йорк - 3</t>
  </si>
  <si>
    <t>Йорк - 2</t>
  </si>
  <si>
    <t>Бонни и Клайд -3</t>
  </si>
  <si>
    <t>Аризона</t>
  </si>
  <si>
    <t>Тиффани 2 а</t>
  </si>
  <si>
    <t>МАТРАЦЫ С БЛОКОМ НЕЗАВИСИМЫХ ПРУЖИН ЭЛИТ</t>
  </si>
  <si>
    <t>Тиффани 1 а</t>
  </si>
  <si>
    <t>Тиффани 1а мульти</t>
  </si>
  <si>
    <t>Тиффани 2а мульти</t>
  </si>
  <si>
    <t>Тиффани 1а Family</t>
  </si>
  <si>
    <t>Калифорния</t>
  </si>
  <si>
    <t>БЕСПРУЖИННЫЕ МАТРАЦЫ</t>
  </si>
  <si>
    <t>Медисана 1</t>
  </si>
  <si>
    <t>Медисана 2</t>
  </si>
  <si>
    <t>Каролина</t>
  </si>
  <si>
    <t>Юта</t>
  </si>
  <si>
    <t>Лира</t>
  </si>
  <si>
    <t xml:space="preserve"> МАТРАЦЫ В ТРИКОТАЖНОМ ЧЕХЛЕ</t>
  </si>
  <si>
    <t>Йорк 2 трик</t>
  </si>
  <si>
    <t>Бонни и Клайд -3 трик</t>
  </si>
  <si>
    <t>Тиффани 1а трик</t>
  </si>
  <si>
    <t>Тиффани 2а трик</t>
  </si>
  <si>
    <t>Наматрасник ч-47</t>
  </si>
  <si>
    <t>Наматрасник ч-52</t>
  </si>
  <si>
    <r>
      <rPr>
        <b/>
        <sz val="12"/>
        <rFont val="Times New Roman"/>
        <family val="1"/>
        <charset val="204"/>
      </rPr>
      <t>подушка Лавамед 1</t>
    </r>
    <r>
      <rPr>
        <i/>
        <sz val="12"/>
        <rFont val="Times New Roman"/>
        <family val="1"/>
        <charset val="204"/>
      </rPr>
      <t xml:space="preserve">  </t>
    </r>
  </si>
  <si>
    <t>Вискоформ</t>
  </si>
  <si>
    <t>Виско киссен</t>
  </si>
  <si>
    <t>Варио Дрим</t>
  </si>
  <si>
    <t>Сроки изготовления матрацев  14 дней.</t>
  </si>
  <si>
    <t>Прайс-лист на матрасы</t>
  </si>
  <si>
    <t xml:space="preserve">                    ОДО "Цветные сны"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</si>
</sst>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2"/>
      <name val="Arial Cyr"/>
      <family val="2"/>
      <charset val="204"/>
    </font>
    <font>
      <sz val="12"/>
      <name val="Arial Cyr"/>
      <charset val="204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b/>
      <sz val="10"/>
      <name val="Arial Cyr"/>
      <charset val="204"/>
    </font>
    <font>
      <i/>
      <sz val="12"/>
      <name val="Times New Roman"/>
      <family val="1"/>
      <charset val="204"/>
    </font>
    <font>
      <b/>
      <sz val="1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FF99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vertical="top" wrapText="1"/>
    </xf>
    <xf numFmtId="0" fontId="7" fillId="4" borderId="4" xfId="0" applyFont="1" applyFill="1" applyBorder="1" applyAlignment="1">
      <alignment horizontal="center" vertical="top" wrapText="1"/>
    </xf>
    <xf numFmtId="4" fontId="8" fillId="4" borderId="1" xfId="0" applyNumberFormat="1" applyFont="1" applyFill="1" applyBorder="1" applyAlignment="1">
      <alignment horizontal="center" vertical="top" wrapText="1"/>
    </xf>
    <xf numFmtId="4" fontId="9" fillId="5" borderId="1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4" fontId="8" fillId="0" borderId="1" xfId="0" applyNumberFormat="1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top" wrapText="1"/>
    </xf>
    <xf numFmtId="4" fontId="9" fillId="4" borderId="1" xfId="0" applyNumberFormat="1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0" fillId="4" borderId="0" xfId="0" applyFill="1"/>
    <xf numFmtId="0" fontId="7" fillId="4" borderId="1" xfId="0" applyFont="1" applyFill="1" applyBorder="1" applyAlignment="1">
      <alignment horizontal="center" vertical="top" wrapText="1"/>
    </xf>
    <xf numFmtId="0" fontId="3" fillId="4" borderId="0" xfId="0" applyFont="1" applyFill="1" applyBorder="1" applyAlignment="1">
      <alignment horizontal="center" vertical="top" wrapText="1"/>
    </xf>
    <xf numFmtId="4" fontId="8" fillId="4" borderId="0" xfId="0" applyNumberFormat="1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center" vertical="center"/>
    </xf>
    <xf numFmtId="0" fontId="7" fillId="0" borderId="1" xfId="0" applyFont="1" applyFill="1" applyBorder="1"/>
    <xf numFmtId="4" fontId="9" fillId="0" borderId="1" xfId="0" applyNumberFormat="1" applyFont="1" applyFill="1" applyBorder="1" applyAlignment="1">
      <alignment horizontal="center"/>
    </xf>
    <xf numFmtId="4" fontId="0" fillId="0" borderId="0" xfId="0" applyNumberFormat="1" applyFill="1"/>
    <xf numFmtId="0" fontId="11" fillId="0" borderId="1" xfId="0" applyFont="1" applyFill="1" applyBorder="1" applyAlignment="1"/>
    <xf numFmtId="4" fontId="6" fillId="0" borderId="0" xfId="0" applyNumberFormat="1" applyFont="1" applyFill="1"/>
    <xf numFmtId="4" fontId="3" fillId="0" borderId="0" xfId="0" applyNumberFormat="1" applyFont="1" applyFill="1" applyAlignment="1"/>
    <xf numFmtId="4" fontId="0" fillId="0" borderId="0" xfId="0" applyNumberFormat="1" applyAlignment="1"/>
    <xf numFmtId="0" fontId="0" fillId="0" borderId="0" xfId="0" applyAlignment="1"/>
    <xf numFmtId="0" fontId="12" fillId="0" borderId="0" xfId="0" applyFont="1" applyFill="1"/>
    <xf numFmtId="0" fontId="10" fillId="0" borderId="0" xfId="0" applyFont="1" applyFill="1"/>
    <xf numFmtId="4" fontId="9" fillId="0" borderId="5" xfId="0" applyNumberFormat="1" applyFont="1" applyFill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/>
    <xf numFmtId="0" fontId="3" fillId="6" borderId="1" xfId="0" applyFont="1" applyFill="1" applyBorder="1" applyAlignment="1">
      <alignment horizontal="center" vertical="top" wrapText="1"/>
    </xf>
    <xf numFmtId="0" fontId="0" fillId="6" borderId="1" xfId="0" applyFill="1" applyBorder="1" applyAlignment="1"/>
    <xf numFmtId="0" fontId="3" fillId="7" borderId="1" xfId="0" applyFont="1" applyFill="1" applyBorder="1" applyAlignment="1">
      <alignment horizontal="center" vertical="top" wrapText="1"/>
    </xf>
    <xf numFmtId="0" fontId="0" fillId="7" borderId="1" xfId="0" applyFill="1" applyBorder="1" applyAlignment="1"/>
    <xf numFmtId="0" fontId="3" fillId="8" borderId="1" xfId="0" applyFont="1" applyFill="1" applyBorder="1" applyAlignment="1">
      <alignment horizontal="center" vertical="top" wrapText="1"/>
    </xf>
    <xf numFmtId="0" fontId="0" fillId="8" borderId="1" xfId="0" applyFill="1" applyBorder="1" applyAlignment="1"/>
    <xf numFmtId="0" fontId="3" fillId="9" borderId="1" xfId="0" applyFont="1" applyFill="1" applyBorder="1" applyAlignment="1">
      <alignment horizontal="center" vertical="top" wrapText="1"/>
    </xf>
    <xf numFmtId="0" fontId="10" fillId="9" borderId="1" xfId="0" applyFont="1" applyFill="1" applyBorder="1" applyAlignment="1"/>
    <xf numFmtId="0" fontId="3" fillId="10" borderId="1" xfId="0" applyFont="1" applyFill="1" applyBorder="1" applyAlignment="1">
      <alignment horizontal="center" vertical="top" wrapText="1"/>
    </xf>
    <xf numFmtId="0" fontId="10" fillId="10" borderId="1" xfId="0" applyFont="1" applyFill="1" applyBorder="1" applyAlignment="1"/>
    <xf numFmtId="0" fontId="3" fillId="0" borderId="0" xfId="0" applyFont="1" applyFill="1" applyAlignment="1"/>
    <xf numFmtId="0" fontId="0" fillId="0" borderId="0" xfId="0" applyAlignment="1"/>
    <xf numFmtId="4" fontId="3" fillId="0" borderId="0" xfId="0" applyNumberFormat="1" applyFont="1" applyFill="1" applyAlignment="1"/>
    <xf numFmtId="4" fontId="0" fillId="0" borderId="0" xfId="0" applyNumberForma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workbookViewId="0">
      <selection activeCell="A2" sqref="A2:G2"/>
    </sheetView>
  </sheetViews>
  <sheetFormatPr defaultRowHeight="14.4"/>
  <cols>
    <col min="1" max="1" width="20.33203125" customWidth="1"/>
    <col min="2" max="2" width="11.33203125" customWidth="1"/>
    <col min="3" max="3" width="11" customWidth="1"/>
    <col min="4" max="4" width="14" customWidth="1"/>
    <col min="5" max="5" width="13.6640625" customWidth="1"/>
    <col min="6" max="6" width="12.44140625" customWidth="1"/>
    <col min="7" max="7" width="12.109375" customWidth="1"/>
    <col min="8" max="8" width="12.33203125" customWidth="1"/>
    <col min="9" max="11" width="13.109375" customWidth="1"/>
  </cols>
  <sheetData>
    <row r="1" spans="1:11" ht="15.6">
      <c r="A1" s="33" t="s">
        <v>64</v>
      </c>
      <c r="B1" s="33"/>
      <c r="C1" s="33"/>
      <c r="D1" s="33"/>
      <c r="E1" s="33"/>
      <c r="F1" s="33"/>
      <c r="G1" s="33"/>
      <c r="H1" s="33"/>
      <c r="I1" s="1"/>
      <c r="J1" s="1"/>
      <c r="K1" s="1"/>
    </row>
    <row r="2" spans="1:11" ht="15.6">
      <c r="A2" s="33" t="s">
        <v>65</v>
      </c>
      <c r="B2" s="34"/>
      <c r="C2" s="34"/>
      <c r="D2" s="34"/>
      <c r="E2" s="34"/>
      <c r="F2" s="34"/>
      <c r="G2" s="34"/>
      <c r="H2" s="2"/>
      <c r="I2" s="1"/>
      <c r="J2" s="1"/>
      <c r="K2" s="1"/>
    </row>
    <row r="3" spans="1:11" ht="15.6">
      <c r="A3" s="3"/>
      <c r="B3" s="3"/>
      <c r="C3" s="3"/>
      <c r="D3" s="3"/>
      <c r="E3" s="3"/>
      <c r="F3" s="3"/>
      <c r="G3" s="3"/>
      <c r="H3" s="3"/>
      <c r="I3" s="1"/>
      <c r="J3" s="1"/>
      <c r="K3" s="1"/>
    </row>
    <row r="4" spans="1:11">
      <c r="A4" s="35" t="s">
        <v>0</v>
      </c>
      <c r="B4" s="36"/>
      <c r="C4" s="36"/>
      <c r="D4" s="36"/>
      <c r="E4" s="36"/>
      <c r="F4" s="36"/>
      <c r="G4" s="36"/>
      <c r="H4" s="36"/>
      <c r="I4" s="1"/>
      <c r="J4" s="1"/>
      <c r="K4" s="1"/>
    </row>
    <row r="5" spans="1:11">
      <c r="A5" s="4"/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1"/>
      <c r="J5" s="1"/>
      <c r="K5" s="1"/>
    </row>
    <row r="6" spans="1:11">
      <c r="A6" s="6" t="s">
        <v>8</v>
      </c>
      <c r="B6" s="5" t="s">
        <v>9</v>
      </c>
      <c r="C6" s="5" t="s">
        <v>10</v>
      </c>
      <c r="D6" s="5" t="s">
        <v>11</v>
      </c>
      <c r="E6" s="5" t="s">
        <v>12</v>
      </c>
      <c r="F6" s="5" t="s">
        <v>13</v>
      </c>
      <c r="G6" s="5" t="s">
        <v>14</v>
      </c>
      <c r="H6" s="5" t="s">
        <v>15</v>
      </c>
      <c r="I6" s="1"/>
      <c r="J6" s="1"/>
      <c r="K6" s="1"/>
    </row>
    <row r="7" spans="1:11">
      <c r="A7" s="7"/>
      <c r="B7" s="5" t="s">
        <v>16</v>
      </c>
      <c r="C7" s="5" t="s">
        <v>17</v>
      </c>
      <c r="D7" s="5" t="s">
        <v>18</v>
      </c>
      <c r="E7" s="5" t="s">
        <v>19</v>
      </c>
      <c r="F7" s="5" t="s">
        <v>20</v>
      </c>
      <c r="G7" s="5" t="s">
        <v>21</v>
      </c>
      <c r="H7" s="5" t="s">
        <v>22</v>
      </c>
      <c r="I7" s="1"/>
      <c r="J7" s="1"/>
      <c r="K7" s="1"/>
    </row>
    <row r="8" spans="1:11" ht="15.6">
      <c r="A8" s="8" t="s">
        <v>23</v>
      </c>
      <c r="B8" s="9">
        <f>102*1.3</f>
        <v>132.6</v>
      </c>
      <c r="C8" s="10">
        <f>116*1.3</f>
        <v>150.80000000000001</v>
      </c>
      <c r="D8" s="10">
        <f>144*1.3</f>
        <v>187.20000000000002</v>
      </c>
      <c r="E8" s="10">
        <f>174*1.3</f>
        <v>226.20000000000002</v>
      </c>
      <c r="F8" s="10">
        <f>186*1.3</f>
        <v>241.8</v>
      </c>
      <c r="G8" s="10">
        <f>226*1.3</f>
        <v>293.8</v>
      </c>
      <c r="H8" s="10">
        <f>274*1.3</f>
        <v>356.2</v>
      </c>
      <c r="I8" s="1"/>
      <c r="J8" s="1"/>
      <c r="K8" s="1"/>
    </row>
    <row r="9" spans="1:11" ht="15.6">
      <c r="A9" s="8" t="s">
        <v>24</v>
      </c>
      <c r="B9" s="9">
        <f>113*1.3</f>
        <v>146.9</v>
      </c>
      <c r="C9" s="10">
        <f>134*1.3</f>
        <v>174.20000000000002</v>
      </c>
      <c r="D9" s="10">
        <f>169*1.3</f>
        <v>219.70000000000002</v>
      </c>
      <c r="E9" s="10">
        <f>196*1.3</f>
        <v>254.8</v>
      </c>
      <c r="F9" s="10">
        <f>218*1.3</f>
        <v>283.40000000000003</v>
      </c>
      <c r="G9" s="10">
        <f>273*1.3</f>
        <v>354.90000000000003</v>
      </c>
      <c r="H9" s="10">
        <f>310*1.3</f>
        <v>403</v>
      </c>
      <c r="I9" s="1"/>
      <c r="J9" s="1"/>
      <c r="K9" s="1"/>
    </row>
    <row r="10" spans="1:11" ht="15.6">
      <c r="A10" s="11" t="s">
        <v>25</v>
      </c>
      <c r="B10" s="9">
        <f>116*1.3</f>
        <v>150.80000000000001</v>
      </c>
      <c r="C10" s="12">
        <f>134*1.3</f>
        <v>174.20000000000002</v>
      </c>
      <c r="D10" s="12">
        <f>171*1.3</f>
        <v>222.3</v>
      </c>
      <c r="E10" s="12">
        <f>205*1.3</f>
        <v>266.5</v>
      </c>
      <c r="F10" s="12">
        <f>221*1.3</f>
        <v>287.3</v>
      </c>
      <c r="G10" s="12">
        <f>266*1.3</f>
        <v>345.8</v>
      </c>
      <c r="H10" s="13">
        <f>317*1.3</f>
        <v>412.1</v>
      </c>
      <c r="I10" s="1"/>
      <c r="J10" s="1"/>
      <c r="K10" s="1"/>
    </row>
    <row r="11" spans="1:11" ht="15.6">
      <c r="A11" s="11" t="s">
        <v>26</v>
      </c>
      <c r="B11" s="9">
        <f>132*1.3</f>
        <v>171.6</v>
      </c>
      <c r="C11" s="12">
        <f>153*1.3</f>
        <v>198.9</v>
      </c>
      <c r="D11" s="12">
        <f>193*1.3</f>
        <v>250.9</v>
      </c>
      <c r="E11" s="12">
        <f>232*1.3</f>
        <v>301.60000000000002</v>
      </c>
      <c r="F11" s="12">
        <f>252*1.3</f>
        <v>327.60000000000002</v>
      </c>
      <c r="G11" s="12">
        <f>300*1.3</f>
        <v>390</v>
      </c>
      <c r="H11" s="13">
        <f>370*1.3</f>
        <v>481</v>
      </c>
      <c r="I11" s="1"/>
      <c r="J11" s="1"/>
      <c r="K11" s="1"/>
    </row>
    <row r="12" spans="1:11" ht="15.6">
      <c r="A12" s="11" t="s">
        <v>27</v>
      </c>
      <c r="B12" s="9">
        <f>144*1.3</f>
        <v>187.20000000000002</v>
      </c>
      <c r="C12" s="12">
        <f>165*1.3</f>
        <v>214.5</v>
      </c>
      <c r="D12" s="12">
        <f>211*1.3</f>
        <v>274.3</v>
      </c>
      <c r="E12" s="12">
        <f>252*1.3</f>
        <v>327.60000000000002</v>
      </c>
      <c r="F12" s="12">
        <f>272*1.3</f>
        <v>353.6</v>
      </c>
      <c r="G12" s="12">
        <f>321*1.3</f>
        <v>417.3</v>
      </c>
      <c r="H12" s="13">
        <f>407*1.3</f>
        <v>529.1</v>
      </c>
      <c r="I12" s="1"/>
      <c r="J12" s="1"/>
      <c r="K12" s="1"/>
    </row>
    <row r="13" spans="1:11">
      <c r="A13" s="37" t="s">
        <v>28</v>
      </c>
      <c r="B13" s="38"/>
      <c r="C13" s="38"/>
      <c r="D13" s="38"/>
      <c r="E13" s="38"/>
      <c r="F13" s="38"/>
      <c r="G13" s="38"/>
      <c r="H13" s="38"/>
      <c r="I13" s="1"/>
      <c r="J13" s="1"/>
      <c r="K13" s="1"/>
    </row>
    <row r="14" spans="1:11" ht="15.6">
      <c r="A14" s="8" t="s">
        <v>29</v>
      </c>
      <c r="B14" s="9">
        <f>149*1.3</f>
        <v>193.70000000000002</v>
      </c>
      <c r="C14" s="9">
        <f>162*1.3</f>
        <v>210.6</v>
      </c>
      <c r="D14" s="9">
        <f>207*1.3</f>
        <v>269.10000000000002</v>
      </c>
      <c r="E14" s="9">
        <f>234*1.3</f>
        <v>304.2</v>
      </c>
      <c r="F14" s="9">
        <f>266*1.3</f>
        <v>345.8</v>
      </c>
      <c r="G14" s="9">
        <f>278*1.3</f>
        <v>361.40000000000003</v>
      </c>
      <c r="H14" s="10">
        <f>293*1.3</f>
        <v>380.90000000000003</v>
      </c>
      <c r="I14" s="1"/>
      <c r="J14" s="1"/>
      <c r="K14" s="1"/>
    </row>
    <row r="15" spans="1:11" ht="15.6">
      <c r="A15" s="8" t="s">
        <v>30</v>
      </c>
      <c r="B15" s="9">
        <f>151*1.3</f>
        <v>196.3</v>
      </c>
      <c r="C15" s="9">
        <f>164*1.3</f>
        <v>213.20000000000002</v>
      </c>
      <c r="D15" s="9">
        <f>211*1.3</f>
        <v>274.3</v>
      </c>
      <c r="E15" s="9">
        <f>244*1.3</f>
        <v>317.2</v>
      </c>
      <c r="F15" s="9">
        <f>275*1.3</f>
        <v>357.5</v>
      </c>
      <c r="G15" s="9">
        <f>296*1.3</f>
        <v>384.8</v>
      </c>
      <c r="H15" s="10">
        <f>327*1.3</f>
        <v>425.1</v>
      </c>
      <c r="I15" s="1"/>
      <c r="J15" s="1"/>
      <c r="K15" s="1"/>
    </row>
    <row r="16" spans="1:11" ht="15.6">
      <c r="A16" s="8" t="s">
        <v>31</v>
      </c>
      <c r="B16" s="9">
        <f>149*1.3</f>
        <v>193.70000000000002</v>
      </c>
      <c r="C16" s="10">
        <f>174*1.3</f>
        <v>226.20000000000002</v>
      </c>
      <c r="D16" s="10">
        <f>229*1.3</f>
        <v>297.7</v>
      </c>
      <c r="E16" s="10">
        <f>252*1.3</f>
        <v>327.60000000000002</v>
      </c>
      <c r="F16" s="10">
        <f>284*1.3</f>
        <v>369.2</v>
      </c>
      <c r="G16" s="10">
        <f>320*1.3</f>
        <v>416</v>
      </c>
      <c r="H16" s="10">
        <f>346*1.3</f>
        <v>449.8</v>
      </c>
      <c r="I16" s="1"/>
      <c r="J16" s="1"/>
      <c r="K16" s="1"/>
    </row>
    <row r="17" spans="1:11" ht="15.6">
      <c r="A17" s="8" t="s">
        <v>32</v>
      </c>
      <c r="B17" s="9">
        <f>163*1.3</f>
        <v>211.9</v>
      </c>
      <c r="C17" s="10">
        <f>189*1.3</f>
        <v>245.70000000000002</v>
      </c>
      <c r="D17" s="14">
        <f>247*1.3</f>
        <v>321.10000000000002</v>
      </c>
      <c r="E17" s="10">
        <f>279*1.3</f>
        <v>362.7</v>
      </c>
      <c r="F17" s="10">
        <f>315*1.3</f>
        <v>409.5</v>
      </c>
      <c r="G17" s="10">
        <f>352*1.3</f>
        <v>457.6</v>
      </c>
      <c r="H17" s="10">
        <f>370*1.3</f>
        <v>481</v>
      </c>
      <c r="I17" s="1"/>
      <c r="J17" s="1"/>
      <c r="K17" s="1"/>
    </row>
    <row r="18" spans="1:11" ht="15.6">
      <c r="A18" s="8" t="s">
        <v>33</v>
      </c>
      <c r="B18" s="9">
        <f>179*1.3</f>
        <v>232.70000000000002</v>
      </c>
      <c r="C18" s="10">
        <f>205*1.3</f>
        <v>266.5</v>
      </c>
      <c r="D18" s="10">
        <f>276*1.3</f>
        <v>358.8</v>
      </c>
      <c r="E18" s="10">
        <f>303*1.3</f>
        <v>393.90000000000003</v>
      </c>
      <c r="F18" s="10">
        <f>345*1.3</f>
        <v>448.5</v>
      </c>
      <c r="G18" s="10">
        <f>387*1.3</f>
        <v>503.1</v>
      </c>
      <c r="H18" s="10">
        <f>412*1.3</f>
        <v>535.6</v>
      </c>
      <c r="I18" s="1"/>
      <c r="J18" s="1"/>
      <c r="K18" s="1"/>
    </row>
    <row r="19" spans="1:11">
      <c r="A19" s="39" t="s">
        <v>34</v>
      </c>
      <c r="B19" s="40"/>
      <c r="C19" s="40"/>
      <c r="D19" s="40"/>
      <c r="E19" s="40"/>
      <c r="F19" s="40"/>
      <c r="G19" s="40"/>
      <c r="H19" s="40"/>
      <c r="I19" s="1"/>
      <c r="J19" s="1"/>
      <c r="K19" s="1"/>
    </row>
    <row r="20" spans="1:11" ht="15.6">
      <c r="A20" s="11" t="s">
        <v>35</v>
      </c>
      <c r="B20" s="12">
        <f>182*1.3</f>
        <v>236.6</v>
      </c>
      <c r="C20" s="13">
        <f>214*1.3</f>
        <v>278.2</v>
      </c>
      <c r="D20" s="13">
        <f>280*1.3</f>
        <v>364</v>
      </c>
      <c r="E20" s="13">
        <f>327*1.3</f>
        <v>425.1</v>
      </c>
      <c r="F20" s="13">
        <f>363*1.3</f>
        <v>471.90000000000003</v>
      </c>
      <c r="G20" s="13">
        <f>406*1.3</f>
        <v>527.80000000000007</v>
      </c>
      <c r="H20" s="10">
        <f>452*1.3</f>
        <v>587.6</v>
      </c>
      <c r="I20" s="1"/>
      <c r="J20" s="1"/>
      <c r="K20" s="1"/>
    </row>
    <row r="21" spans="1:11" ht="15.6">
      <c r="A21" s="11" t="s">
        <v>36</v>
      </c>
      <c r="B21" s="9">
        <f>198*1.3</f>
        <v>257.40000000000003</v>
      </c>
      <c r="C21" s="13">
        <f>231*1.3</f>
        <v>300.3</v>
      </c>
      <c r="D21" s="13">
        <f>304*1.3</f>
        <v>395.2</v>
      </c>
      <c r="E21" s="13">
        <f>352*1.3</f>
        <v>457.6</v>
      </c>
      <c r="F21" s="13">
        <f>394*1.3</f>
        <v>512.20000000000005</v>
      </c>
      <c r="G21" s="13">
        <f>439*1.3</f>
        <v>570.70000000000005</v>
      </c>
      <c r="H21" s="10">
        <f>485*1.3</f>
        <v>630.5</v>
      </c>
      <c r="I21" s="1"/>
      <c r="J21" s="1"/>
      <c r="K21" s="1"/>
    </row>
    <row r="22" spans="1:11" ht="15.6">
      <c r="A22" s="11" t="s">
        <v>37</v>
      </c>
      <c r="B22" s="9">
        <f>207*1.3</f>
        <v>269.10000000000002</v>
      </c>
      <c r="C22" s="13">
        <f>243*1.3</f>
        <v>315.90000000000003</v>
      </c>
      <c r="D22" s="13">
        <f>318*1.3</f>
        <v>413.40000000000003</v>
      </c>
      <c r="E22" s="13">
        <f>370*1.3</f>
        <v>481</v>
      </c>
      <c r="F22" s="13">
        <f>413*1.3</f>
        <v>536.9</v>
      </c>
      <c r="G22" s="13">
        <f>459*1.3</f>
        <v>596.70000000000005</v>
      </c>
      <c r="H22" s="10">
        <f>525*1.3</f>
        <v>682.5</v>
      </c>
      <c r="I22" s="1"/>
      <c r="J22" s="1"/>
      <c r="K22" s="1"/>
    </row>
    <row r="23" spans="1:11" ht="15.6">
      <c r="A23" s="11" t="s">
        <v>38</v>
      </c>
      <c r="B23" s="9">
        <f>232*1.3</f>
        <v>301.60000000000002</v>
      </c>
      <c r="C23" s="13">
        <f>273*1.3</f>
        <v>354.90000000000003</v>
      </c>
      <c r="D23" s="13">
        <f>388*1.3</f>
        <v>504.40000000000003</v>
      </c>
      <c r="E23" s="13">
        <f>406*1.3</f>
        <v>527.80000000000007</v>
      </c>
      <c r="F23" s="13">
        <f>463*1.3</f>
        <v>601.9</v>
      </c>
      <c r="G23" s="13">
        <f>520*1.3</f>
        <v>676</v>
      </c>
      <c r="H23" s="10">
        <f>625*1.3</f>
        <v>812.5</v>
      </c>
      <c r="I23" s="1"/>
      <c r="J23" s="1"/>
      <c r="K23" s="1"/>
    </row>
    <row r="24" spans="1:11" ht="15.6">
      <c r="A24" s="11" t="s">
        <v>39</v>
      </c>
      <c r="B24" s="9">
        <f>272*1.3</f>
        <v>353.6</v>
      </c>
      <c r="C24" s="14">
        <f>300*1.3</f>
        <v>390</v>
      </c>
      <c r="D24" s="13">
        <f>381*1.3</f>
        <v>495.3</v>
      </c>
      <c r="E24" s="13">
        <f>445*1.3</f>
        <v>578.5</v>
      </c>
      <c r="F24" s="13">
        <f>500*1.3</f>
        <v>650</v>
      </c>
      <c r="G24" s="13">
        <f>563*1.3</f>
        <v>731.9</v>
      </c>
      <c r="H24" s="10">
        <f>630*1.3</f>
        <v>819</v>
      </c>
      <c r="I24" s="1"/>
      <c r="J24" s="1"/>
      <c r="K24" s="1"/>
    </row>
    <row r="25" spans="1:11">
      <c r="A25" s="41" t="s">
        <v>40</v>
      </c>
      <c r="B25" s="42"/>
      <c r="C25" s="42"/>
      <c r="D25" s="42"/>
      <c r="E25" s="42"/>
      <c r="F25" s="42"/>
      <c r="G25" s="42"/>
      <c r="H25" s="42"/>
      <c r="I25" s="1"/>
      <c r="J25" s="1"/>
      <c r="K25" s="1"/>
    </row>
    <row r="26" spans="1:11" ht="15.6">
      <c r="A26" s="11" t="s">
        <v>41</v>
      </c>
      <c r="B26" s="9">
        <f>287*1.3</f>
        <v>373.1</v>
      </c>
      <c r="C26" s="14">
        <f>315*1.3</f>
        <v>409.5</v>
      </c>
      <c r="D26" s="13">
        <f>437*1.3</f>
        <v>568.1</v>
      </c>
      <c r="E26" s="13">
        <f>492*1.3</f>
        <v>639.6</v>
      </c>
      <c r="F26" s="13">
        <f>555*1.3</f>
        <v>721.5</v>
      </c>
      <c r="G26" s="13">
        <f>620*1.3</f>
        <v>806</v>
      </c>
      <c r="H26" s="10">
        <f>775*1.3</f>
        <v>1007.5</v>
      </c>
      <c r="I26" s="1"/>
      <c r="J26" s="1"/>
      <c r="K26" s="1"/>
    </row>
    <row r="27" spans="1:11" ht="15.6">
      <c r="A27" s="15" t="s">
        <v>42</v>
      </c>
      <c r="B27" s="9">
        <f>324*1.3</f>
        <v>421.2</v>
      </c>
      <c r="C27" s="13">
        <f>376*1.3</f>
        <v>488.8</v>
      </c>
      <c r="D27" s="13">
        <f>485*1.3</f>
        <v>630.5</v>
      </c>
      <c r="E27" s="13">
        <f>578*1.3</f>
        <v>751.4</v>
      </c>
      <c r="F27" s="13">
        <f>666*1.3</f>
        <v>865.80000000000007</v>
      </c>
      <c r="G27" s="13">
        <f>732*1.3</f>
        <v>951.6</v>
      </c>
      <c r="H27" s="10">
        <f>895*1.3</f>
        <v>1163.5</v>
      </c>
      <c r="I27" s="1"/>
      <c r="J27" s="1"/>
      <c r="K27" s="1"/>
    </row>
    <row r="28" spans="1:11" ht="15.6">
      <c r="A28" s="15" t="s">
        <v>43</v>
      </c>
      <c r="B28" s="9">
        <f>309*1.3</f>
        <v>401.7</v>
      </c>
      <c r="C28" s="13">
        <f>358*1.3</f>
        <v>465.40000000000003</v>
      </c>
      <c r="D28" s="13">
        <f>463*1.3</f>
        <v>601.9</v>
      </c>
      <c r="E28" s="13">
        <f>549*1.3</f>
        <v>713.7</v>
      </c>
      <c r="F28" s="13">
        <f>632*1.3</f>
        <v>821.6</v>
      </c>
      <c r="G28" s="13">
        <f>697*1.3</f>
        <v>906.1</v>
      </c>
      <c r="H28" s="10">
        <f>870*1.3</f>
        <v>1131</v>
      </c>
      <c r="I28" s="1"/>
      <c r="J28" s="1"/>
      <c r="K28" s="1"/>
    </row>
    <row r="29" spans="1:11" ht="15.6">
      <c r="A29" s="11" t="s">
        <v>44</v>
      </c>
      <c r="B29" s="9">
        <f>363*1.3</f>
        <v>471.90000000000003</v>
      </c>
      <c r="C29" s="13">
        <f>403*1.3</f>
        <v>523.9</v>
      </c>
      <c r="D29" s="13">
        <f>529*1.3</f>
        <v>687.7</v>
      </c>
      <c r="E29" s="13">
        <f>605*1.3</f>
        <v>786.5</v>
      </c>
      <c r="F29" s="13">
        <f>701*1.3</f>
        <v>911.30000000000007</v>
      </c>
      <c r="G29" s="13">
        <f>768*1.3</f>
        <v>998.40000000000009</v>
      </c>
      <c r="H29" s="10">
        <f>960*1.3</f>
        <v>1248</v>
      </c>
      <c r="I29" s="1"/>
      <c r="J29" s="1"/>
      <c r="K29" s="1"/>
    </row>
    <row r="30" spans="1:11" ht="15.6">
      <c r="A30" s="11" t="s">
        <v>45</v>
      </c>
      <c r="B30" s="9">
        <f>338*1.3</f>
        <v>439.40000000000003</v>
      </c>
      <c r="C30" s="14">
        <f>398*1.3</f>
        <v>517.4</v>
      </c>
      <c r="D30" s="14">
        <f>563*1.3</f>
        <v>731.9</v>
      </c>
      <c r="E30" s="14">
        <f>602*1.3</f>
        <v>782.6</v>
      </c>
      <c r="F30" s="14">
        <f>674*1.3</f>
        <v>876.2</v>
      </c>
      <c r="G30" s="14">
        <f>800*1.3</f>
        <v>1040</v>
      </c>
      <c r="H30" s="10">
        <f>830*1.3</f>
        <v>1079</v>
      </c>
      <c r="I30" s="16"/>
      <c r="J30" s="16"/>
      <c r="K30" s="16"/>
    </row>
    <row r="31" spans="1:11">
      <c r="A31" s="43" t="s">
        <v>46</v>
      </c>
      <c r="B31" s="44"/>
      <c r="C31" s="44"/>
      <c r="D31" s="44"/>
      <c r="E31" s="44"/>
      <c r="F31" s="44"/>
      <c r="G31" s="44"/>
      <c r="H31" s="44"/>
      <c r="I31" s="1"/>
      <c r="J31" s="1"/>
      <c r="K31" s="1"/>
    </row>
    <row r="32" spans="1:11" ht="15.6">
      <c r="A32" s="11" t="s">
        <v>47</v>
      </c>
      <c r="B32" s="9">
        <f>439*1.3</f>
        <v>570.70000000000005</v>
      </c>
      <c r="C32" s="9">
        <f>490*1.3</f>
        <v>637</v>
      </c>
      <c r="D32" s="9">
        <f>648*1.3</f>
        <v>842.4</v>
      </c>
      <c r="E32" s="9">
        <f>760*1.3</f>
        <v>988</v>
      </c>
      <c r="F32" s="9">
        <f>830*1.3</f>
        <v>1079</v>
      </c>
      <c r="G32" s="9">
        <f>952*1.3</f>
        <v>1237.6000000000001</v>
      </c>
      <c r="H32" s="10">
        <f>1235*1.3</f>
        <v>1605.5</v>
      </c>
      <c r="I32" s="16"/>
      <c r="J32" s="16"/>
      <c r="K32" s="16"/>
    </row>
    <row r="33" spans="1:11" ht="15.6">
      <c r="A33" s="11" t="s">
        <v>48</v>
      </c>
      <c r="B33" s="9">
        <f>362*1.3</f>
        <v>470.6</v>
      </c>
      <c r="C33" s="9">
        <f>407*1.3</f>
        <v>529.1</v>
      </c>
      <c r="D33" s="9">
        <f>538*1.3</f>
        <v>699.4</v>
      </c>
      <c r="E33" s="9">
        <f>607*1.3</f>
        <v>789.1</v>
      </c>
      <c r="F33" s="9">
        <f>688*1.3</f>
        <v>894.4</v>
      </c>
      <c r="G33" s="9">
        <f>772*1.3</f>
        <v>1003.6</v>
      </c>
      <c r="H33" s="10">
        <f>1055*1.3</f>
        <v>1371.5</v>
      </c>
      <c r="I33" s="16"/>
      <c r="J33" s="16"/>
      <c r="K33" s="16"/>
    </row>
    <row r="34" spans="1:11" ht="15.6">
      <c r="A34" s="17" t="s">
        <v>49</v>
      </c>
      <c r="B34" s="9">
        <f>360*1.3</f>
        <v>468</v>
      </c>
      <c r="C34" s="9">
        <f>400*1.3</f>
        <v>520</v>
      </c>
      <c r="D34" s="9">
        <f>498*1.3</f>
        <v>647.4</v>
      </c>
      <c r="E34" s="9">
        <f>569*1.3</f>
        <v>739.7</v>
      </c>
      <c r="F34" s="9">
        <f>644*1.3</f>
        <v>837.2</v>
      </c>
      <c r="G34" s="9">
        <f>715*1.3</f>
        <v>929.5</v>
      </c>
      <c r="H34" s="10">
        <f>860*1.3</f>
        <v>1118</v>
      </c>
      <c r="I34" s="16"/>
      <c r="J34" s="16"/>
      <c r="K34" s="16"/>
    </row>
    <row r="35" spans="1:11" ht="15.6">
      <c r="A35" s="11" t="s">
        <v>50</v>
      </c>
      <c r="B35" s="9">
        <f>137*1.3</f>
        <v>178.1</v>
      </c>
      <c r="C35" s="9">
        <f>147*1.3</f>
        <v>191.1</v>
      </c>
      <c r="D35" s="9">
        <f>196*1.3</f>
        <v>254.8</v>
      </c>
      <c r="E35" s="9">
        <f>224*1.3</f>
        <v>291.2</v>
      </c>
      <c r="F35" s="9">
        <f>253*1.3</f>
        <v>328.90000000000003</v>
      </c>
      <c r="G35" s="9">
        <f>286*1.3</f>
        <v>371.8</v>
      </c>
      <c r="H35" s="10">
        <f>405*1.3</f>
        <v>526.5</v>
      </c>
      <c r="I35" s="16"/>
      <c r="J35" s="16"/>
      <c r="K35" s="16"/>
    </row>
    <row r="36" spans="1:11" ht="15.6">
      <c r="A36" s="11" t="s">
        <v>51</v>
      </c>
      <c r="B36" s="9">
        <f>92*1.3</f>
        <v>119.60000000000001</v>
      </c>
      <c r="C36" s="9">
        <f>103*1.3</f>
        <v>133.9</v>
      </c>
      <c r="D36" s="9">
        <f>134*1.3</f>
        <v>174.20000000000002</v>
      </c>
      <c r="E36" s="9">
        <f>154*1.3</f>
        <v>200.20000000000002</v>
      </c>
      <c r="F36" s="9">
        <f>175*1.3</f>
        <v>227.5</v>
      </c>
      <c r="G36" s="9">
        <f>197*1.3</f>
        <v>256.10000000000002</v>
      </c>
      <c r="H36" s="10">
        <f>235*1.3</f>
        <v>305.5</v>
      </c>
      <c r="I36" s="16"/>
      <c r="J36" s="16"/>
      <c r="K36" s="16"/>
    </row>
    <row r="37" spans="1:11">
      <c r="A37" s="45" t="s">
        <v>52</v>
      </c>
      <c r="B37" s="46"/>
      <c r="C37" s="46"/>
      <c r="D37" s="46"/>
      <c r="E37" s="46"/>
      <c r="F37" s="46"/>
      <c r="G37" s="46"/>
      <c r="H37" s="46"/>
      <c r="I37" s="16"/>
      <c r="J37" s="16"/>
      <c r="K37" s="16"/>
    </row>
    <row r="38" spans="1:11" ht="15.6">
      <c r="A38" s="11" t="s">
        <v>53</v>
      </c>
      <c r="B38" s="9">
        <f>190*1.3</f>
        <v>247</v>
      </c>
      <c r="C38" s="9">
        <f>223*1.3</f>
        <v>289.90000000000003</v>
      </c>
      <c r="D38" s="9">
        <f>291*1.3</f>
        <v>378.3</v>
      </c>
      <c r="E38" s="9">
        <f>339*1.3</f>
        <v>440.7</v>
      </c>
      <c r="F38" s="9">
        <f>376*1.3</f>
        <v>488.8</v>
      </c>
      <c r="G38" s="9">
        <f>420*1.3</f>
        <v>546</v>
      </c>
      <c r="H38" s="14">
        <f>446*1.3</f>
        <v>579.80000000000007</v>
      </c>
      <c r="I38" s="16"/>
      <c r="J38" s="16"/>
      <c r="K38" s="16"/>
    </row>
    <row r="39" spans="1:11" ht="31.2">
      <c r="A39" s="11" t="s">
        <v>54</v>
      </c>
      <c r="B39" s="9">
        <f>198*1.3</f>
        <v>257.40000000000003</v>
      </c>
      <c r="C39" s="9">
        <f>234*1.3</f>
        <v>304.2</v>
      </c>
      <c r="D39" s="9">
        <f>309*1.3</f>
        <v>401.7</v>
      </c>
      <c r="E39" s="9">
        <f>358*1.3</f>
        <v>465.40000000000003</v>
      </c>
      <c r="F39" s="9">
        <f>396*1.3</f>
        <v>514.80000000000007</v>
      </c>
      <c r="G39" s="9">
        <f>443*1.3</f>
        <v>575.9</v>
      </c>
      <c r="H39" s="14">
        <f>455*1.3</f>
        <v>591.5</v>
      </c>
      <c r="I39" s="16"/>
      <c r="J39" s="16"/>
      <c r="K39" s="16"/>
    </row>
    <row r="40" spans="1:11" ht="15.6">
      <c r="A40" s="11" t="s">
        <v>55</v>
      </c>
      <c r="B40" s="9">
        <f>278*1.3</f>
        <v>361.40000000000003</v>
      </c>
      <c r="C40" s="9">
        <f>307*1.3</f>
        <v>399.1</v>
      </c>
      <c r="D40" s="9">
        <f>421*1.3</f>
        <v>547.30000000000007</v>
      </c>
      <c r="E40" s="9">
        <f>476*1.3</f>
        <v>618.80000000000007</v>
      </c>
      <c r="F40" s="9">
        <f>532*1.3</f>
        <v>691.6</v>
      </c>
      <c r="G40" s="9">
        <f>602*1.3</f>
        <v>782.6</v>
      </c>
      <c r="H40" s="14">
        <f>655*1.3</f>
        <v>851.5</v>
      </c>
      <c r="I40" s="16"/>
      <c r="J40" s="16"/>
      <c r="K40" s="16"/>
    </row>
    <row r="41" spans="1:11" ht="15.6">
      <c r="A41" s="11" t="s">
        <v>56</v>
      </c>
      <c r="B41" s="9">
        <f>263*1.3</f>
        <v>341.90000000000003</v>
      </c>
      <c r="C41" s="9">
        <f>291*1.3</f>
        <v>378.3</v>
      </c>
      <c r="D41" s="9">
        <f>368*1.3</f>
        <v>478.40000000000003</v>
      </c>
      <c r="E41" s="9">
        <f>433*1.3</f>
        <v>562.9</v>
      </c>
      <c r="F41" s="9">
        <f>477*1.3</f>
        <v>620.1</v>
      </c>
      <c r="G41" s="9">
        <f>543*1.3</f>
        <v>705.9</v>
      </c>
      <c r="H41" s="14">
        <f>565*1.3</f>
        <v>734.5</v>
      </c>
      <c r="I41" s="16"/>
      <c r="J41" s="16"/>
      <c r="K41" s="16"/>
    </row>
    <row r="42" spans="1:11" ht="15.6">
      <c r="A42" s="18"/>
      <c r="B42" s="19"/>
      <c r="C42" s="19"/>
      <c r="D42" s="19"/>
      <c r="E42" s="19"/>
      <c r="F42" s="19"/>
      <c r="G42" s="19"/>
      <c r="H42" s="20"/>
      <c r="I42" s="16"/>
      <c r="J42" s="16"/>
      <c r="K42" s="16"/>
    </row>
    <row r="43" spans="1:11" ht="15.6">
      <c r="A43" s="21" t="s">
        <v>57</v>
      </c>
      <c r="B43" s="31">
        <f>40*1.3</f>
        <v>52</v>
      </c>
      <c r="C43" s="32"/>
      <c r="D43" s="22">
        <f>48*1.3</f>
        <v>62.400000000000006</v>
      </c>
      <c r="E43" s="22">
        <f>55*1.3</f>
        <v>71.5</v>
      </c>
      <c r="F43" s="22">
        <f>61*1.3</f>
        <v>79.3</v>
      </c>
      <c r="G43" s="22">
        <f>66*1.3</f>
        <v>85.8</v>
      </c>
      <c r="H43" s="10">
        <f>70*1.3</f>
        <v>91</v>
      </c>
      <c r="I43" s="23"/>
      <c r="J43" s="23"/>
      <c r="K43" s="23"/>
    </row>
    <row r="44" spans="1:11" ht="15.6">
      <c r="A44" s="21" t="s">
        <v>58</v>
      </c>
      <c r="B44" s="31">
        <f>36*1.3</f>
        <v>46.800000000000004</v>
      </c>
      <c r="C44" s="32"/>
      <c r="D44" s="22">
        <f>42*1.3</f>
        <v>54.6</v>
      </c>
      <c r="E44" s="22">
        <f>45*1.3</f>
        <v>58.5</v>
      </c>
      <c r="F44" s="22">
        <f>50*1.3</f>
        <v>65</v>
      </c>
      <c r="G44" s="22">
        <f>57*1.3</f>
        <v>74.100000000000009</v>
      </c>
      <c r="H44" s="10">
        <f>60*1.3</f>
        <v>78</v>
      </c>
      <c r="I44" s="23"/>
      <c r="J44" s="23"/>
      <c r="K44" s="23"/>
    </row>
    <row r="45" spans="1:11" ht="15.6">
      <c r="A45" s="24" t="s">
        <v>59</v>
      </c>
      <c r="B45" s="31">
        <f>55*1.3</f>
        <v>71.5</v>
      </c>
      <c r="C45" s="32"/>
      <c r="D45" s="25"/>
      <c r="E45" s="25"/>
      <c r="F45" s="25"/>
      <c r="G45" s="25"/>
      <c r="H45" s="23"/>
      <c r="I45" s="23"/>
      <c r="J45" s="23"/>
      <c r="K45" s="23"/>
    </row>
    <row r="46" spans="1:11" ht="15.6">
      <c r="A46" s="21" t="s">
        <v>60</v>
      </c>
      <c r="B46" s="31">
        <f>46*1.3</f>
        <v>59.800000000000004</v>
      </c>
      <c r="C46" s="32"/>
      <c r="D46" s="49"/>
      <c r="E46" s="50"/>
      <c r="F46" s="50"/>
      <c r="G46" s="50"/>
      <c r="H46" s="50"/>
      <c r="I46" s="50"/>
      <c r="J46" s="50"/>
      <c r="K46" s="50"/>
    </row>
    <row r="47" spans="1:11" ht="15.6">
      <c r="A47" s="21" t="s">
        <v>61</v>
      </c>
      <c r="B47" s="31">
        <f>30*1.3</f>
        <v>39</v>
      </c>
      <c r="C47" s="32"/>
      <c r="D47" s="26"/>
      <c r="E47" s="27"/>
      <c r="F47" s="27"/>
      <c r="G47" s="27"/>
      <c r="H47" s="27"/>
      <c r="I47" s="27"/>
      <c r="J47" s="27"/>
      <c r="K47" s="27"/>
    </row>
    <row r="48" spans="1:11" ht="15.6">
      <c r="A48" s="21" t="s">
        <v>62</v>
      </c>
      <c r="B48" s="31">
        <f>54*1.3</f>
        <v>70.2</v>
      </c>
      <c r="C48" s="32"/>
      <c r="D48" s="25"/>
      <c r="E48" s="25"/>
      <c r="F48" s="25"/>
      <c r="G48" s="25"/>
      <c r="H48" s="23"/>
      <c r="I48" s="23"/>
      <c r="J48" s="23"/>
      <c r="K48" s="23"/>
    </row>
    <row r="49" spans="1:11" ht="15.6">
      <c r="A49" s="47" t="s">
        <v>63</v>
      </c>
      <c r="B49" s="48"/>
      <c r="C49" s="48"/>
      <c r="D49" s="48"/>
      <c r="E49" s="48"/>
      <c r="F49" s="48"/>
      <c r="G49" s="48"/>
      <c r="H49" s="28"/>
      <c r="I49" s="28"/>
      <c r="J49" s="1"/>
      <c r="K49" s="1"/>
    </row>
    <row r="50" spans="1:11" ht="15.6">
      <c r="A50" s="47"/>
      <c r="B50" s="48"/>
      <c r="C50" s="48"/>
      <c r="D50" s="48"/>
      <c r="E50" s="48"/>
      <c r="F50" s="48"/>
      <c r="G50" s="48"/>
      <c r="H50" s="48"/>
      <c r="I50" s="48"/>
      <c r="J50" s="1"/>
      <c r="K50" s="1"/>
    </row>
    <row r="51" spans="1:11" ht="15.6">
      <c r="A51" s="47"/>
      <c r="B51" s="48"/>
      <c r="C51" s="48"/>
      <c r="D51" s="48"/>
      <c r="E51" s="48"/>
      <c r="F51" s="48"/>
      <c r="G51" s="48"/>
      <c r="H51" s="48"/>
      <c r="I51" s="48"/>
      <c r="J51" s="1"/>
      <c r="K51" s="1"/>
    </row>
    <row r="52" spans="1:11">
      <c r="A52" s="29"/>
      <c r="B52" s="30"/>
      <c r="C52" s="30"/>
      <c r="D52" s="1"/>
      <c r="E52" s="1"/>
      <c r="F52" s="1"/>
      <c r="G52" s="1"/>
      <c r="H52" s="1"/>
      <c r="I52" s="1"/>
      <c r="J52" s="1"/>
      <c r="K52" s="1"/>
    </row>
    <row r="53" spans="1:1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</sheetData>
  <mergeCells count="18">
    <mergeCell ref="A49:G49"/>
    <mergeCell ref="A50:I50"/>
    <mergeCell ref="A51:I51"/>
    <mergeCell ref="B44:C44"/>
    <mergeCell ref="B45:C45"/>
    <mergeCell ref="B46:C46"/>
    <mergeCell ref="D46:K46"/>
    <mergeCell ref="B47:C47"/>
    <mergeCell ref="B48:C48"/>
    <mergeCell ref="B43:C43"/>
    <mergeCell ref="A1:H1"/>
    <mergeCell ref="A2:G2"/>
    <mergeCell ref="A4:H4"/>
    <mergeCell ref="A13:H13"/>
    <mergeCell ref="A19:H19"/>
    <mergeCell ref="A25:H25"/>
    <mergeCell ref="A31:H31"/>
    <mergeCell ref="A37:H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Юля</dc:creator>
  <cp:lastModifiedBy>Юля</cp:lastModifiedBy>
  <dcterms:created xsi:type="dcterms:W3CDTF">2018-02-22T20:43:26Z</dcterms:created>
  <dcterms:modified xsi:type="dcterms:W3CDTF">2018-02-22T21:32:28Z</dcterms:modified>
</cp:coreProperties>
</file>